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CAPEX" sheetId="2" state="visible" r:id="rId2"/>
    <sheet name="OPEX" sheetId="3" state="visible" r:id="rId3"/>
    <sheet name="Revenue Scenarios" sheetId="4" state="visible" r:id="rId4"/>
    <sheet name="5Y Projection" sheetId="5" state="visible" r:id="rId5"/>
    <sheet name="Sensitivity" sheetId="6" state="visible" r:id="rId6"/>
    <sheet name="Phase 1 Term Sheet" sheetId="7" state="visible" r:id="rId7"/>
    <sheet name="Phase 2-4 Funding" sheetId="8" state="visible" r:id="rId8"/>
  </sheets>
  <definedNames>
    <definedName name="USD_RATE">Cover!$C$8</definedName>
    <definedName name="ELEC_TARIFF">Cover!$C$9</definedName>
    <definedName name="WOOD_PRICE">Cover!$C$10</definedName>
    <definedName name="MONTHLY_YIELD">Cover!$C$11</definedName>
    <definedName name="WOOD_USAGE">Cover!$C$12</definedName>
    <definedName name="OPERATOR_SALARY">Cover!$C$13</definedName>
    <definedName name="CONTAINER_COST">Cover!$C$14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"/>
    <numFmt numFmtId="165" formatCode="#,##0&quot; грн&quot;"/>
    <numFmt numFmtId="166" formatCode="0.0%"/>
    <numFmt numFmtId="167" formatCode="#,##0&quot; грн/кг&quot;"/>
    <numFmt numFmtId="168" formatCode="0.0&quot;×&quot;"/>
  </numFmts>
  <fonts count="12">
    <font>
      <name val="Calibri"/>
      <family val="2"/>
      <color theme="1"/>
      <sz val="11"/>
      <scheme val="minor"/>
    </font>
    <font>
      <name val="Helvetica"/>
      <color rgb="007CB342"/>
      <sz val="42"/>
    </font>
    <font>
      <name val="Helvetica"/>
      <b val="1"/>
      <color rgb="002A3524"/>
      <sz val="14"/>
    </font>
    <font>
      <name val="Helvetica"/>
      <i val="1"/>
      <color rgb="00888888"/>
      <sz val="9"/>
    </font>
    <font>
      <name val="Helvetica"/>
      <b val="1"/>
      <color rgb="002A3524"/>
      <sz val="12"/>
    </font>
    <font>
      <name val="Helvetica"/>
      <color rgb="00222222"/>
      <sz val="10"/>
    </font>
    <font>
      <name val="Helvetica"/>
      <b val="1"/>
      <color rgb="000066CC"/>
      <sz val="10"/>
    </font>
    <font>
      <name val="Helvetica"/>
      <b val="1"/>
      <color rgb="002A3524"/>
      <sz val="10"/>
    </font>
    <font>
      <name val="Helvetica"/>
      <b val="1"/>
      <color rgb="002A3524"/>
      <sz val="18"/>
    </font>
    <font>
      <name val="Courier New"/>
      <color rgb="007A5800"/>
      <sz val="10"/>
    </font>
    <font>
      <name val="Helvetica"/>
      <b val="1"/>
      <color rgb="007CB342"/>
      <sz val="14"/>
    </font>
    <font>
      <name val="Helvetica"/>
      <i val="1"/>
      <color rgb="00B85C38"/>
      <sz val="9"/>
    </font>
  </fonts>
  <fills count="5">
    <fill>
      <patternFill/>
    </fill>
    <fill>
      <patternFill patternType="gray125"/>
    </fill>
    <fill>
      <patternFill patternType="solid">
        <fgColor rgb="00FFF8E1"/>
      </patternFill>
    </fill>
    <fill>
      <patternFill patternType="solid">
        <fgColor rgb="00F0F4EC"/>
      </patternFill>
    </fill>
    <fill>
      <patternFill patternType="solid">
        <fgColor rgb="00FAEAE5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right"/>
    </xf>
    <xf numFmtId="164" fontId="7" fillId="3" borderId="0" applyAlignment="1" pivotButton="0" quotePrefix="0" xfId="0">
      <alignment horizontal="right"/>
    </xf>
    <xf numFmtId="165" fontId="7" fillId="3" borderId="0" applyAlignment="1" pivotButton="0" quotePrefix="0" xfId="0">
      <alignment horizontal="right"/>
    </xf>
    <xf numFmtId="0" fontId="7" fillId="3" borderId="0" applyAlignment="1" pivotButton="0" quotePrefix="0" xfId="0">
      <alignment horizontal="right"/>
    </xf>
    <xf numFmtId="0" fontId="7" fillId="0" borderId="0" pivotButton="0" quotePrefix="0" xfId="0"/>
    <xf numFmtId="0" fontId="8" fillId="0" borderId="0" pivotButton="0" quotePrefix="0" xfId="0"/>
    <xf numFmtId="0" fontId="7" fillId="3" borderId="1" applyAlignment="1" pivotButton="0" quotePrefix="0" xfId="0">
      <alignment horizontal="left" vertical="center" wrapText="1"/>
    </xf>
    <xf numFmtId="164" fontId="0" fillId="0" borderId="0" applyAlignment="1" pivotButton="0" quotePrefix="0" xfId="0">
      <alignment horizontal="right"/>
    </xf>
    <xf numFmtId="0" fontId="5" fillId="0" borderId="0" applyAlignment="1" pivotButton="0" quotePrefix="0" xfId="0">
      <alignment horizontal="right"/>
    </xf>
    <xf numFmtId="164" fontId="9" fillId="0" borderId="0" pivotButton="0" quotePrefix="0" xfId="0"/>
    <xf numFmtId="165" fontId="9" fillId="0" borderId="0" pivotButton="0" quotePrefix="0" xfId="0"/>
    <xf numFmtId="164" fontId="6" fillId="2" borderId="0" applyAlignment="1" pivotButton="0" quotePrefix="0" xfId="0">
      <alignment horizontal="right"/>
    </xf>
    <xf numFmtId="0" fontId="7" fillId="3" borderId="0" pivotButton="0" quotePrefix="0" xfId="0"/>
    <xf numFmtId="164" fontId="7" fillId="3" borderId="0" pivotButton="0" quotePrefix="0" xfId="0"/>
    <xf numFmtId="165" fontId="7" fillId="3" borderId="0" pivotButton="0" quotePrefix="0" xfId="0"/>
    <xf numFmtId="164" fontId="6" fillId="2" borderId="0" pivotButton="0" quotePrefix="0" xfId="0"/>
    <xf numFmtId="165" fontId="0" fillId="0" borderId="0" pivotButton="0" quotePrefix="0" xfId="0"/>
    <xf numFmtId="0" fontId="4" fillId="3" borderId="0" pivotButton="0" quotePrefix="0" xfId="0"/>
    <xf numFmtId="164" fontId="4" fillId="3" borderId="0" pivotButton="0" quotePrefix="0" xfId="0"/>
    <xf numFmtId="165" fontId="4" fillId="3" borderId="0" pivotButton="0" quotePrefix="0" xfId="0"/>
    <xf numFmtId="0" fontId="0" fillId="0" borderId="0" applyAlignment="1" pivotButton="0" quotePrefix="0" xfId="0">
      <alignment horizontal="right"/>
    </xf>
    <xf numFmtId="166" fontId="3" fillId="0" borderId="0" pivotButton="0" quotePrefix="0" xfId="0"/>
    <xf numFmtId="167" fontId="6" fillId="2" borderId="0" applyAlignment="1" pivotButton="0" quotePrefix="0" xfId="0">
      <alignment horizontal="right"/>
    </xf>
    <xf numFmtId="165" fontId="7" fillId="0" borderId="0" pivotButton="0" quotePrefix="0" xfId="0"/>
    <xf numFmtId="165" fontId="6" fillId="2" borderId="0" pivotButton="0" quotePrefix="0" xfId="0"/>
    <xf numFmtId="168" fontId="3" fillId="0" borderId="0" pivotButton="0" quotePrefix="0" xfId="0"/>
    <xf numFmtId="0" fontId="6" fillId="2" borderId="0" pivotButton="0" quotePrefix="0" xfId="0"/>
    <xf numFmtId="0" fontId="3" fillId="0" borderId="0" applyAlignment="1" pivotButton="0" quotePrefix="0" xfId="0">
      <alignment horizontal="center"/>
    </xf>
    <xf numFmtId="0" fontId="10" fillId="0" borderId="0" pivotButton="0" quotePrefix="0" xfId="0"/>
    <xf numFmtId="0" fontId="11" fillId="4" borderId="0" pivotButton="0" quotePrefix="0" xfId="0"/>
  </cellXfs>
  <cellStyles count="1">
    <cellStyle name="Normal" xfId="0" builtinId="0" hidden="0"/>
  </cellStyles>
  <dxfs count="2">
    <dxf>
      <font>
        <b val="1"/>
        <color rgb="002A6B0F"/>
      </font>
      <fill>
        <patternFill patternType="solid">
          <fgColor rgb="00E6F4DA"/>
        </patternFill>
      </fill>
    </dxf>
    <dxf>
      <font>
        <b val="1"/>
        <color rgb="009C2D14"/>
      </font>
      <fill>
        <patternFill patternType="solid">
          <fgColor rgb="00FAE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G4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3" customWidth="1" min="8" max="8"/>
  </cols>
  <sheetData>
    <row r="2">
      <c r="B2" s="1" t="inlineStr">
        <is>
          <t>kokon</t>
        </is>
      </c>
    </row>
    <row r="4">
      <c r="B4" s="2" t="inlineStr">
        <is>
          <t>Financial Model v3 · Kosiv MVP</t>
        </is>
      </c>
    </row>
    <row r="5">
      <c r="B5" s="3" t="inlineStr">
        <is>
          <t>Травень 2026 · 1× 20ft container, Косів, Івано-Франківська обл.</t>
        </is>
      </c>
    </row>
    <row r="7">
      <c r="B7" s="4" t="inlineStr">
        <is>
          <t>ВХІДНІ ДОПУЩЕННЯ (редагуй жовті комірки)</t>
        </is>
      </c>
    </row>
    <row r="8">
      <c r="B8" s="5" t="inlineStr">
        <is>
          <t>USD-курс (грн/$)</t>
        </is>
      </c>
      <c r="C8" s="6" t="n">
        <v>41.5</v>
      </c>
      <c r="D8" s="3" t="inlineStr">
        <is>
          <t>Травень 2026</t>
        </is>
      </c>
    </row>
    <row r="9">
      <c r="B9" s="5" t="inlineStr">
        <is>
          <t>Тариф ел/енерг (грн/кВт·год)</t>
        </is>
      </c>
      <c r="C9" s="6" t="n">
        <v>16</v>
      </c>
      <c r="D9" s="3" t="inlineStr">
        <is>
          <t>Бізнес-тариф 2026</t>
        </is>
      </c>
    </row>
    <row r="10">
      <c r="B10" s="5" t="inlineStr">
        <is>
          <t>Дрова бук/граб (грн/м³)</t>
        </is>
      </c>
      <c r="C10" s="6" t="n">
        <v>3000</v>
      </c>
      <c r="D10" s="3" t="inlineStr">
        <is>
          <t>Карпатський регіон</t>
        </is>
      </c>
    </row>
    <row r="11">
      <c r="B11" s="5" t="inlineStr">
        <is>
          <t>Місячний врожай baseline (кг)</t>
        </is>
      </c>
      <c r="C11" s="6" t="n">
        <v>150</v>
      </c>
      <c r="D11" s="3" t="inlineStr">
        <is>
          <t>120-180 діапазон</t>
        </is>
      </c>
    </row>
    <row r="12">
      <c r="B12" s="5" t="inlineStr">
        <is>
          <t>Витрата дров зимою (м³/міс)</t>
        </is>
      </c>
      <c r="C12" s="6" t="n">
        <v>0.6</v>
      </c>
      <c r="D12" s="3" t="inlineStr">
        <is>
          <t>0.5-0.7 діапазон</t>
        </is>
      </c>
    </row>
    <row r="13">
      <c r="B13" s="5" t="inlineStr">
        <is>
          <t>Зарплата оператора (грн/міс)</t>
        </is>
      </c>
      <c r="C13" s="6" t="n">
        <v>12000</v>
      </c>
      <c r="D13" s="3" t="inlineStr">
        <is>
          <t>Гіг-договір 25 год/тижд</t>
        </is>
      </c>
    </row>
    <row r="14">
      <c r="B14" s="5" t="inlineStr">
        <is>
          <t>Контейнер 20ft (USD)</t>
        </is>
      </c>
      <c r="C14" s="6" t="n">
        <v>2800</v>
      </c>
      <c r="D14" s="3" t="inlineStr">
        <is>
          <t>Б/у, з ТЗ користувача</t>
        </is>
      </c>
    </row>
    <row r="17">
      <c r="B17" s="4" t="inlineStr">
        <is>
          <t>ГОЛОВНІ KPI (формули)</t>
        </is>
      </c>
    </row>
    <row r="18">
      <c r="B18" s="5" t="inlineStr">
        <is>
          <t>CAPEX MVP, USD</t>
        </is>
      </c>
      <c r="C18" s="7">
        <f>'CAPEX'!$F$36</f>
        <v/>
      </c>
    </row>
    <row r="19">
      <c r="B19" s="5" t="inlineStr">
        <is>
          <t>CAPEX MVP, грн</t>
        </is>
      </c>
      <c r="C19" s="8">
        <f>'CAPEX'!$G$36</f>
        <v/>
      </c>
    </row>
    <row r="20">
      <c r="B20" s="5" t="inlineStr">
        <is>
          <t>OPEX зима, грн/міс</t>
        </is>
      </c>
      <c r="C20" s="8">
        <f>'OPEX'!$E$19</f>
        <v/>
      </c>
    </row>
    <row r="21">
      <c r="B21" s="5" t="inlineStr">
        <is>
          <t>OPEX літо, грн/міс</t>
        </is>
      </c>
      <c r="C21" s="8">
        <f>'OPEX'!$F$19</f>
        <v/>
      </c>
    </row>
    <row r="22">
      <c r="B22" s="5" t="inlineStr">
        <is>
          <t>OPEX середній, грн/міс</t>
        </is>
      </c>
      <c r="C22" s="8">
        <f>'OPEX'!$G$19</f>
        <v/>
      </c>
    </row>
    <row r="23">
      <c r="B23" s="5" t="inlineStr">
        <is>
          <t>Виручка C сценарій (грн)</t>
        </is>
      </c>
      <c r="C23" s="8">
        <f>'Revenue Scenarios'!$F$7</f>
        <v/>
      </c>
    </row>
    <row r="24">
      <c r="B24" s="5" t="inlineStr">
        <is>
          <t>Маржа C, грн/міс</t>
        </is>
      </c>
      <c r="C24" s="8">
        <f>'Revenue Scenarios'!$H$7</f>
        <v/>
      </c>
    </row>
    <row r="25">
      <c r="B25" s="5" t="inlineStr">
        <is>
          <t>Breakeven (контейнерів)</t>
        </is>
      </c>
      <c r="C25" s="9" t="n">
        <v>3</v>
      </c>
    </row>
    <row r="27">
      <c r="B27" s="4" t="inlineStr">
        <is>
          <t>ВИДАЧА ДЛЯ ІНВЕСТОРА</t>
        </is>
      </c>
    </row>
    <row r="28">
      <c r="B28" s="5" t="inlineStr">
        <is>
          <t>• Phase 1 (MVP): $30K через 2 ангелів · pre-money $80K · post-money $110K</t>
        </is>
      </c>
    </row>
    <row r="29">
      <c r="B29" s="5" t="inlineStr">
        <is>
          <t>• Контрольний пакет фаундера: 51%; ангели по 24.5%</t>
        </is>
      </c>
    </row>
    <row r="30">
      <c r="B30" s="5" t="inlineStr">
        <is>
          <t>• Очікувана маржа MVP: 0% – +15% (преміум-канал HoReCa Буковель)</t>
        </is>
      </c>
    </row>
    <row r="31">
      <c r="B31" s="5" t="inlineStr">
        <is>
          <t>• Реальний прибуток: з 3-го контейнера в кластері (Phase 2 2027)</t>
        </is>
      </c>
    </row>
    <row r="32">
      <c r="B32" s="5" t="inlineStr">
        <is>
          <t>• Phase 3 NFT mint Polygon: $300K на 2028 при 5-7 контейнерах</t>
        </is>
      </c>
    </row>
    <row r="34">
      <c r="B34" s="4" t="inlineStr">
        <is>
          <t>ЛИСТИ</t>
        </is>
      </c>
    </row>
    <row r="35">
      <c r="B35" s="10" t="inlineStr">
        <is>
          <t>CAPEX</t>
        </is>
      </c>
      <c r="C35" s="5" t="inlineStr">
        <is>
          <t>Детальна структура капітальних витрат у грн та USD</t>
        </is>
      </c>
    </row>
    <row r="36">
      <c r="B36" s="10" t="inlineStr">
        <is>
          <t>OPEX</t>
        </is>
      </c>
      <c r="C36" s="5" t="inlineStr">
        <is>
          <t>Місячні OPEX зима / літо при 16 грн/кВт·год + 3000 грн/м³</t>
        </is>
      </c>
    </row>
    <row r="37">
      <c r="B37" s="10" t="inlineStr">
        <is>
          <t>Revenue Scenarios</t>
        </is>
      </c>
      <c r="C37" s="5" t="inlineStr">
        <is>
          <t>4 сценарії продажу (опт, мікс, преміум, літо)</t>
        </is>
      </c>
    </row>
    <row r="38">
      <c r="B38" s="10" t="inlineStr">
        <is>
          <t>5Y Projection</t>
        </is>
      </c>
      <c r="C38" s="5" t="inlineStr">
        <is>
          <t>5-річний прогноз виручки, OPEX, чистого прибутку</t>
        </is>
      </c>
    </row>
    <row r="39">
      <c r="B39" s="10" t="inlineStr">
        <is>
          <t>Sensitivity</t>
        </is>
      </c>
      <c r="C39" s="5" t="inlineStr">
        <is>
          <t>Чутливість до 5 ключових параметрів</t>
        </is>
      </c>
    </row>
    <row r="40">
      <c r="B40" s="10" t="inlineStr">
        <is>
          <t>Phase 1 Term Sheet</t>
        </is>
      </c>
      <c r="C40" s="5" t="inlineStr">
        <is>
          <t>Структура раунду $30K на 2 ангелів</t>
        </is>
      </c>
    </row>
    <row r="41">
      <c r="B41" s="10" t="inlineStr">
        <is>
          <t>Phase 2-4 Funding</t>
        </is>
      </c>
      <c r="C41" s="5" t="inlineStr">
        <is>
          <t>Crypto-roadmap раундів</t>
        </is>
      </c>
    </row>
  </sheetData>
  <mergeCells count="7">
    <mergeCell ref="C35:G35"/>
    <mergeCell ref="C38:G38"/>
    <mergeCell ref="C41:G41"/>
    <mergeCell ref="C37:G37"/>
    <mergeCell ref="C36:G36"/>
    <mergeCell ref="C39:G39"/>
    <mergeCell ref="C40:G4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3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8" customWidth="1" min="2" max="2"/>
    <col width="16" customWidth="1" min="3" max="3"/>
    <col width="14" customWidth="1" min="4" max="4"/>
    <col width="16" customWidth="1" min="5" max="5"/>
    <col width="18" customWidth="1" min="6" max="6"/>
    <col width="4" customWidth="1" min="7" max="7"/>
  </cols>
  <sheetData>
    <row r="1">
      <c r="B1" s="11" t="inlineStr">
        <is>
          <t>CAPEX MVP — деталізація</t>
        </is>
      </c>
    </row>
    <row r="2">
      <c r="B2" s="3" t="inlineStr">
        <is>
          <t>USD-курс через Cover!USD_RATE; жовті комірки — input</t>
        </is>
      </c>
    </row>
    <row r="4" ht="24" customHeight="1">
      <c r="A4" s="12" t="inlineStr">
        <is>
          <t>Категорія</t>
        </is>
      </c>
      <c r="B4" s="12" t="inlineStr">
        <is>
          <t>Призначення</t>
        </is>
      </c>
      <c r="C4" s="12" t="inlineStr">
        <is>
          <t>USD</t>
        </is>
      </c>
      <c r="D4" s="12" t="inlineStr">
        <is>
          <t>Множ.</t>
        </is>
      </c>
      <c r="E4" s="12" t="inlineStr">
        <is>
          <t>USD final</t>
        </is>
      </c>
      <c r="F4" s="12" t="inlineStr">
        <is>
          <t>грн final</t>
        </is>
      </c>
    </row>
    <row r="5">
      <c r="B5" s="5" t="inlineStr">
        <is>
          <t>Контейнер 20ft б/у</t>
        </is>
      </c>
      <c r="C5" s="3" t="inlineStr">
        <is>
          <t>Згідно з ТЗ користувача</t>
        </is>
      </c>
      <c r="D5" s="13">
        <f>CONTAINER_COST</f>
        <v/>
      </c>
      <c r="E5" s="14" t="n">
        <v>1</v>
      </c>
      <c r="F5" s="15">
        <f>D5*E5</f>
        <v/>
      </c>
      <c r="G5" s="16">
        <f>F5*USD_RATE</f>
        <v/>
      </c>
    </row>
    <row r="6">
      <c r="B6" s="5" t="inlineStr">
        <is>
          <t>Утеплення PIR 80мм + монтаж</t>
        </is>
      </c>
      <c r="C6" s="3" t="inlineStr">
        <is>
          <t>~50 м² × 1200 грн/м² × 1.3</t>
        </is>
      </c>
      <c r="D6" s="17" t="n">
        <v>1900</v>
      </c>
      <c r="E6" s="14" t="n">
        <v>1</v>
      </c>
      <c r="F6" s="15">
        <f>D6*E6</f>
        <v/>
      </c>
      <c r="G6" s="16">
        <f>F6*USD_RATE</f>
        <v/>
      </c>
    </row>
    <row r="7">
      <c r="B7" s="5" t="inlineStr">
        <is>
          <t>Підлога: стяжка + плитка</t>
        </is>
      </c>
      <c r="C7" s="3" t="inlineStr">
        <is>
          <t>Миється, антиковзка</t>
        </is>
      </c>
      <c r="D7" s="17" t="n">
        <v>500</v>
      </c>
      <c r="E7" s="14" t="n">
        <v>1</v>
      </c>
      <c r="F7" s="15">
        <f>D7*E7</f>
        <v/>
      </c>
      <c r="G7" s="16">
        <f>F7*USD_RATE</f>
        <v/>
      </c>
    </row>
    <row r="8">
      <c r="B8" s="5" t="inlineStr">
        <is>
          <t>Внутрішні перегородки + двері</t>
        </is>
      </c>
      <c r="C8" s="3" t="inlineStr">
        <is>
          <t>FRP-панелі, лабораторна двостулкова</t>
        </is>
      </c>
      <c r="D8" s="17" t="n">
        <v>400</v>
      </c>
      <c r="E8" s="14" t="n">
        <v>1</v>
      </c>
      <c r="F8" s="15">
        <f>D8*E8</f>
        <v/>
      </c>
      <c r="G8" s="16">
        <f>F8*USD_RATE</f>
        <v/>
      </c>
    </row>
    <row r="9">
      <c r="B9" s="5" t="inlineStr">
        <is>
          <t>Стелажі нержавійка 6 ярусів</t>
        </is>
      </c>
      <c r="C9" s="3" t="inlineStr">
        <is>
          <t>Inkub 2 + Frut 4, ~18 м² поверхні</t>
        </is>
      </c>
      <c r="D9" s="17" t="n">
        <v>1200</v>
      </c>
      <c r="E9" s="14" t="n">
        <v>1</v>
      </c>
      <c r="F9" s="15">
        <f>D9*E9</f>
        <v/>
      </c>
      <c r="G9" s="16">
        <f>F9*USD_RATE</f>
        <v/>
      </c>
    </row>
    <row r="10">
      <c r="B10" s="5" t="inlineStr">
        <is>
          <t>HVAC спліт 9000 BTU</t>
        </is>
      </c>
      <c r="C10" s="3" t="inlineStr">
        <is>
          <t>Тільки охолодження V→IX</t>
        </is>
      </c>
      <c r="D10" s="17" t="n">
        <v>700</v>
      </c>
      <c r="E10" s="14" t="n">
        <v>1</v>
      </c>
      <c r="F10" s="15">
        <f>D10*E10</f>
        <v/>
      </c>
      <c r="G10" s="16">
        <f>F10*USD_RATE</f>
        <v/>
      </c>
    </row>
    <row r="11">
      <c r="B11" s="5" t="inlineStr">
        <is>
          <t>Водяний калорифер + насос</t>
        </is>
      </c>
      <c r="C11" s="3" t="inlineStr">
        <is>
          <t>Опалення зимою від спільного котла</t>
        </is>
      </c>
      <c r="D11" s="17" t="n">
        <v>200</v>
      </c>
      <c r="E11" s="14" t="n">
        <v>1</v>
      </c>
      <c r="F11" s="15">
        <f>D11*E11</f>
        <v/>
      </c>
      <c r="G11" s="16">
        <f>F11*USD_RATE</f>
        <v/>
      </c>
    </row>
    <row r="12">
      <c r="B12" s="5" t="inlineStr">
        <is>
          <t>Вентиляція + HEPA лаб. зона</t>
        </is>
      </c>
      <c r="C12" s="3" t="inlineStr">
        <is>
          <t>6–10 повітрообмінів/год</t>
        </is>
      </c>
      <c r="D12" s="17" t="n">
        <v>500</v>
      </c>
      <c r="E12" s="14" t="n">
        <v>1</v>
      </c>
      <c r="F12" s="15">
        <f>D12*E12</f>
        <v/>
      </c>
      <c r="G12" s="16">
        <f>F12*USD_RATE</f>
        <v/>
      </c>
    </row>
    <row r="13">
      <c r="B13" s="5" t="inlineStr">
        <is>
          <t>Зволоження ультразвук</t>
        </is>
      </c>
      <c r="C13" s="3" t="inlineStr">
        <is>
          <t>4–6 туманоутворювачів</t>
        </is>
      </c>
      <c r="D13" s="17" t="n">
        <v>300</v>
      </c>
      <c r="E13" s="14" t="n">
        <v>1</v>
      </c>
      <c r="F13" s="15">
        <f>D13*E13</f>
        <v/>
      </c>
      <c r="G13" s="16">
        <f>F13*USD_RATE</f>
        <v/>
      </c>
    </row>
    <row r="14">
      <c r="B14" s="5" t="inlineStr">
        <is>
          <t>LED освітлення водонепроникне</t>
        </is>
      </c>
      <c r="C14" s="3" t="inlineStr">
        <is>
          <t>6500K, 200–500 lux</t>
        </is>
      </c>
      <c r="D14" s="17" t="n">
        <v>200</v>
      </c>
      <c r="E14" s="14" t="n">
        <v>1</v>
      </c>
      <c r="F14" s="15">
        <f>D14*E14</f>
        <v/>
      </c>
      <c r="G14" s="16">
        <f>F14*USD_RATE</f>
        <v/>
      </c>
    </row>
    <row r="15">
      <c r="B15" s="5" t="inlineStr">
        <is>
          <t>Електрика + водопровід</t>
        </is>
      </c>
      <c r="C15" s="3" t="inlineStr">
        <is>
          <t>Внутрішня</t>
        </is>
      </c>
      <c r="D15" s="17" t="n">
        <v>700</v>
      </c>
      <c r="E15" s="14" t="n">
        <v>1</v>
      </c>
      <c r="F15" s="15">
        <f>D15*E15</f>
        <v/>
      </c>
      <c r="G15" s="16">
        <f>F15*USD_RATE</f>
        <v/>
      </c>
    </row>
    <row r="16">
      <c r="B16" s="5" t="inlineStr">
        <is>
          <t>Лаб. обладнання (DIY)</t>
        </is>
      </c>
      <c r="C16" s="3" t="inlineStr">
        <is>
          <t>HEPA-бокс + автоклав 50л + міксер</t>
        </is>
      </c>
      <c r="D16" s="17" t="n">
        <v>1500</v>
      </c>
      <c r="E16" s="14" t="n">
        <v>1</v>
      </c>
      <c r="F16" s="15">
        <f>D16*E16</f>
        <v/>
      </c>
      <c r="G16" s="16">
        <f>F16*USD_RATE</f>
        <v/>
      </c>
    </row>
    <row r="17">
      <c r="B17" s="5" t="inlineStr">
        <is>
          <t>Пастеризатор парова камера 80л</t>
        </is>
      </c>
      <c r="C17" s="3" t="inlineStr">
        <is>
          <t>71°C / 60-90 хв</t>
        </is>
      </c>
      <c r="D17" s="17" t="n">
        <v>400</v>
      </c>
      <c r="E17" s="14" t="n">
        <v>1</v>
      </c>
      <c r="F17" s="15">
        <f>D17*E17</f>
        <v/>
      </c>
      <c r="G17" s="16">
        <f>F17*USD_RATE</f>
        <v/>
      </c>
    </row>
    <row r="18">
      <c r="B18" s="5" t="inlineStr">
        <is>
          <t>IoT (ESP32 + датчики + LoRa)</t>
        </is>
      </c>
      <c r="C18" s="3" t="inlineStr">
        <is>
          <t>MVP-комплектація 8-10 датчиків</t>
        </is>
      </c>
      <c r="D18" s="17" t="n">
        <v>400</v>
      </c>
      <c r="E18" s="14" t="n">
        <v>1</v>
      </c>
      <c r="F18" s="15">
        <f>D18*E18</f>
        <v/>
      </c>
      <c r="G18" s="16">
        <f>F18*USD_RATE</f>
        <v/>
      </c>
    </row>
    <row r="19">
      <c r="B19" s="5" t="inlineStr">
        <is>
          <t>IP-камери 2× PoE 2MP</t>
        </is>
      </c>
      <c r="C19" s="3" t="inlineStr">
        <is>
          <t>ІЧ, для AI-аналізу</t>
        </is>
      </c>
      <c r="D19" s="17" t="n">
        <v>200</v>
      </c>
      <c r="E19" s="14" t="n">
        <v>1</v>
      </c>
      <c r="F19" s="15">
        <f>D19*E19</f>
        <v/>
      </c>
      <c r="G19" s="16">
        <f>F19*USD_RATE</f>
        <v/>
      </c>
    </row>
    <row r="20">
      <c r="B20" s="5" t="inlineStr">
        <is>
          <t>Спорова система фільтрів</t>
        </is>
      </c>
      <c r="C20" s="3" t="inlineStr">
        <is>
          <t>F7-F9 + корпус + ΔP</t>
        </is>
      </c>
      <c r="D20" s="17" t="n">
        <v>250</v>
      </c>
      <c r="E20" s="14" t="n">
        <v>1</v>
      </c>
      <c r="F20" s="15">
        <f>D20*E20</f>
        <v/>
      </c>
      <c r="G20" s="16">
        <f>F20*USD_RATE</f>
        <v/>
      </c>
    </row>
    <row r="21">
      <c r="B21" s="5" t="inlineStr">
        <is>
          <t>Монтаж + пусконаладка</t>
        </is>
      </c>
      <c r="C21" s="3" t="inlineStr">
        <is>
          <t>Електрик + монтажник опалення</t>
        </is>
      </c>
      <c r="D21" s="17" t="n">
        <v>1200</v>
      </c>
      <c r="E21" s="14" t="n">
        <v>1</v>
      </c>
      <c r="F21" s="15">
        <f>D21*E21</f>
        <v/>
      </c>
      <c r="G21" s="16">
        <f>F21*USD_RATE</f>
        <v/>
      </c>
    </row>
    <row r="22">
      <c r="B22" s="18" t="inlineStr">
        <is>
          <t>Контейнер РАЗОМ (без зовн. котельної)</t>
        </is>
      </c>
      <c r="F22" s="19">
        <f>SUM(F5:F21)</f>
        <v/>
      </c>
      <c r="G22" s="20">
        <f>F22*USD_RATE</f>
        <v/>
      </c>
    </row>
    <row r="23">
      <c r="B23" s="4" t="inlineStr">
        <is>
          <t>ЗОВНІШНЯ КОТЕЛЬНА (амортизація на 2-4 контейнери)</t>
        </is>
      </c>
    </row>
    <row r="24">
      <c r="B24" s="5" t="inlineStr">
        <is>
          <t>Котел Маяк/Kotlant 12 кВт</t>
        </is>
      </c>
      <c r="C24" s="3" t="inlineStr">
        <is>
          <t>Дрова бук/граб, тривале горіння</t>
        </is>
      </c>
      <c r="D24" s="21" t="n">
        <v>700</v>
      </c>
      <c r="E24" s="5" t="n">
        <v>1</v>
      </c>
      <c r="F24" s="15">
        <f>D24*E24</f>
        <v/>
      </c>
      <c r="G24" s="16">
        <f>F24*USD_RATE</f>
        <v/>
      </c>
    </row>
    <row r="25">
      <c r="B25" s="5" t="inlineStr">
        <is>
          <t>Буферна ємність 300 л</t>
        </is>
      </c>
      <c r="C25" s="3" t="inlineStr">
        <is>
          <t>Теплоакумулятор з змійовиком</t>
        </is>
      </c>
      <c r="D25" s="21" t="n">
        <v>680</v>
      </c>
      <c r="E25" s="5" t="n">
        <v>1</v>
      </c>
      <c r="F25" s="15">
        <f>D25*E25</f>
        <v/>
      </c>
      <c r="G25" s="16">
        <f>F25*USD_RATE</f>
        <v/>
      </c>
    </row>
    <row r="26">
      <c r="B26" s="5" t="inlineStr">
        <is>
          <t>Циркул. насос Wilo/Grundfos 25-40</t>
        </is>
      </c>
      <c r="C26" s="3" t="inlineStr">
        <is>
          <t>25-40 Вт, тиха робота</t>
        </is>
      </c>
      <c r="D26" s="21" t="n">
        <v>80</v>
      </c>
      <c r="E26" s="5" t="n">
        <v>1</v>
      </c>
      <c r="F26" s="15">
        <f>D26*E26</f>
        <v/>
      </c>
      <c r="G26" s="16">
        <f>F26*USD_RATE</f>
        <v/>
      </c>
    </row>
    <row r="27">
      <c r="B27" s="5" t="inlineStr">
        <is>
          <t>Труби PPR + фітинги + утеплення</t>
        </is>
      </c>
      <c r="C27" s="3" t="inlineStr">
        <is>
          <t>З резервом на Phase 2</t>
        </is>
      </c>
      <c r="D27" s="21" t="n">
        <v>200</v>
      </c>
      <c r="E27" s="5" t="n">
        <v>1</v>
      </c>
      <c r="F27" s="15">
        <f>D27*E27</f>
        <v/>
      </c>
      <c r="G27" s="16">
        <f>F27*USD_RATE</f>
        <v/>
      </c>
    </row>
    <row r="28">
      <c r="B28" s="5" t="inlineStr">
        <is>
          <t>Сендвіч-димохід нерж. + монтаж</t>
        </is>
      </c>
      <c r="C28" s="3" t="inlineStr">
        <is>
          <t>3-5 м, типовий H</t>
        </is>
      </c>
      <c r="D28" s="21" t="n">
        <v>400</v>
      </c>
      <c r="E28" s="5" t="n">
        <v>1</v>
      </c>
      <c r="F28" s="15">
        <f>D28*E28</f>
        <v/>
      </c>
      <c r="G28" s="16">
        <f>F28*USD_RATE</f>
        <v/>
      </c>
    </row>
    <row r="29">
      <c r="B29" s="18" t="inlineStr">
        <is>
          <t>Котельна РАЗОМ</t>
        </is>
      </c>
      <c r="F29" s="19">
        <f>SUM(F24:F28)</f>
        <v/>
      </c>
      <c r="G29" s="20">
        <f>F29*USD_RATE</f>
        <v/>
      </c>
    </row>
    <row r="30">
      <c r="B30" s="4" t="inlineStr">
        <is>
          <t>ЗАПАС І РЕЗЕРВ</t>
        </is>
      </c>
    </row>
    <row r="31">
      <c r="B31" s="5" t="inlineStr">
        <is>
          <t>Запасний міцелій (2-міс) + старт. субстрат</t>
        </is>
      </c>
      <c r="C31" s="3" t="inlineStr"/>
      <c r="D31" s="21" t="n">
        <v>500</v>
      </c>
      <c r="E31" s="5" t="n">
        <v>1</v>
      </c>
      <c r="F31" s="15">
        <f>D31*E31</f>
        <v/>
      </c>
      <c r="G31" s="16">
        <f>F31*USD_RATE</f>
        <v/>
      </c>
    </row>
    <row r="32">
      <c r="B32" s="5" t="inlineStr">
        <is>
          <t>Дрібний інвентар</t>
        </is>
      </c>
      <c r="C32" s="3" t="inlineStr">
        <is>
          <t>Ваги, ножі, пакування</t>
        </is>
      </c>
      <c r="D32" s="21" t="n">
        <v>200</v>
      </c>
      <c r="E32" s="5" t="n">
        <v>1</v>
      </c>
      <c r="F32" s="15">
        <f>D32*E32</f>
        <v/>
      </c>
      <c r="G32" s="16">
        <f>F32*USD_RATE</f>
        <v/>
      </c>
    </row>
    <row r="33">
      <c r="B33" s="5" t="inlineStr">
        <is>
          <t>Реєстрація ТОВ + бухгалтерія старт</t>
        </is>
      </c>
      <c r="C33" s="3" t="inlineStr">
        <is>
          <t>+ дозволи СЕС</t>
        </is>
      </c>
      <c r="D33" s="21" t="n">
        <v>300</v>
      </c>
      <c r="E33" s="5" t="n">
        <v>1</v>
      </c>
      <c r="F33" s="15">
        <f>D33*E33</f>
        <v/>
      </c>
      <c r="G33" s="16">
        <f>F33*USD_RATE</f>
        <v/>
      </c>
    </row>
    <row r="34">
      <c r="B34" s="5" t="inlineStr">
        <is>
          <t>Резерв непередбач. 15%</t>
        </is>
      </c>
      <c r="F34" s="15">
        <f>ROUND((F22+F29+SUM(F31:F33))*0.15,0)</f>
        <v/>
      </c>
      <c r="G34" s="22">
        <f>F34*USD_RATE</f>
        <v/>
      </c>
    </row>
    <row r="36">
      <c r="B36" s="23" t="inlineStr">
        <is>
          <t>ЗАГАЛЬНИЙ CAPEX MVP</t>
        </is>
      </c>
      <c r="F36" s="24">
        <f>F22+F29+SUM(F31:F34)</f>
        <v/>
      </c>
      <c r="G36" s="25">
        <f>F36*USD_RATE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8" customWidth="1" min="2" max="2"/>
    <col width="14" customWidth="1" min="3" max="3"/>
    <col width="12" customWidth="1" min="4" max="4"/>
    <col width="16" customWidth="1" min="5" max="5"/>
    <col width="16" customWidth="1" min="6" max="6"/>
    <col width="16" customWidth="1" min="7" max="7"/>
    <col width="4" customWidth="1" min="8" max="8"/>
  </cols>
  <sheetData>
    <row r="1">
      <c r="B1" s="11" t="inlineStr">
        <is>
          <t>OPEX — місячні витрати</t>
        </is>
      </c>
    </row>
    <row r="2">
      <c r="B2" s="3" t="inlineStr">
        <is>
          <t>Зима = з опаленням котлом · Літо = з HVAC</t>
        </is>
      </c>
    </row>
    <row r="4">
      <c r="A4" s="12" t="inlineStr">
        <is>
          <t>Стаття</t>
        </is>
      </c>
      <c r="B4" s="12" t="inlineStr">
        <is>
          <t>кВт·год/міс</t>
        </is>
      </c>
      <c r="C4" s="12" t="inlineStr">
        <is>
          <t>Од.</t>
        </is>
      </c>
      <c r="D4" s="12" t="inlineStr">
        <is>
          <t>Зима грн/міс</t>
        </is>
      </c>
      <c r="E4" s="12" t="inlineStr">
        <is>
          <t>Літо грн/міс</t>
        </is>
      </c>
      <c r="F4" s="12" t="inlineStr">
        <is>
          <t>Середнє</t>
        </is>
      </c>
      <c r="G4" s="12" t="inlineStr">
        <is>
          <t>%</t>
        </is>
      </c>
    </row>
    <row r="5">
      <c r="B5" s="5" t="inlineStr">
        <is>
          <t>Електрика: вентиляція 24/7</t>
        </is>
      </c>
      <c r="C5" s="26" t="n">
        <v>230</v>
      </c>
      <c r="D5" s="3" t="inlineStr">
        <is>
          <t>кВт·год</t>
        </is>
      </c>
      <c r="E5" s="16">
        <f>C5*ELEC_TARIFF</f>
        <v/>
      </c>
      <c r="F5" s="16">
        <f>C5*ELEC_TARIFF</f>
        <v/>
      </c>
      <c r="G5" s="16">
        <f>(E5+F5)/2</f>
        <v/>
      </c>
      <c r="H5" s="27">
        <f>G5/G$19</f>
        <v/>
      </c>
    </row>
    <row r="6">
      <c r="B6" s="5" t="inlineStr">
        <is>
          <t>Електрика: зволоження</t>
        </is>
      </c>
      <c r="C6" s="26" t="n">
        <v>60</v>
      </c>
      <c r="D6" s="3" t="inlineStr">
        <is>
          <t>кВт·год</t>
        </is>
      </c>
      <c r="E6" s="16">
        <f>C6*ELEC_TARIFF</f>
        <v/>
      </c>
      <c r="F6" s="16">
        <f>C6*ELEC_TARIFF</f>
        <v/>
      </c>
      <c r="G6" s="16">
        <f>(E6+F6)/2</f>
        <v/>
      </c>
      <c r="H6" s="27">
        <f>G6/G$19</f>
        <v/>
      </c>
    </row>
    <row r="7">
      <c r="B7" s="5" t="inlineStr">
        <is>
          <t>Електрика: LED + IoT + автоклав</t>
        </is>
      </c>
      <c r="C7" s="26" t="n">
        <v>80</v>
      </c>
      <c r="D7" s="3" t="inlineStr">
        <is>
          <t>кВт·год</t>
        </is>
      </c>
      <c r="E7" s="16">
        <f>C7*ELEC_TARIFF</f>
        <v/>
      </c>
      <c r="F7" s="16">
        <f>C7*ELEC_TARIFF</f>
        <v/>
      </c>
      <c r="G7" s="16">
        <f>(E7+F7)/2</f>
        <v/>
      </c>
      <c r="H7" s="27">
        <f>G7/G$19</f>
        <v/>
      </c>
    </row>
    <row r="8">
      <c r="B8" s="5" t="inlineStr">
        <is>
          <t>Електрика: HVAC (тільки літо)</t>
        </is>
      </c>
      <c r="C8" s="26" t="n">
        <v>475</v>
      </c>
      <c r="D8" s="3" t="inlineStr">
        <is>
          <t>кВт·год</t>
        </is>
      </c>
      <c r="E8" s="16" t="n">
        <v>0</v>
      </c>
      <c r="F8" s="16">
        <f>C8*ELEC_TARIFF</f>
        <v/>
      </c>
      <c r="G8" s="16">
        <f>(E8+F8)/2</f>
        <v/>
      </c>
      <c r="H8" s="27">
        <f>G8/G$19</f>
        <v/>
      </c>
    </row>
    <row r="9">
      <c r="B9" s="5" t="inlineStr">
        <is>
          <t>Дрова (тільки зима)</t>
        </is>
      </c>
      <c r="C9" s="26" t="inlineStr"/>
      <c r="D9" s="3" t="inlineStr">
        <is>
          <t>м³</t>
        </is>
      </c>
      <c r="E9" s="16">
        <f>WOOD_USAGE*WOOD_PRICE</f>
        <v/>
      </c>
      <c r="F9" s="16" t="n">
        <v>0</v>
      </c>
      <c r="G9" s="16">
        <f>(E9+F9)/2</f>
        <v/>
      </c>
      <c r="H9" s="27">
        <f>G9/G$19</f>
        <v/>
      </c>
    </row>
    <row r="10">
      <c r="B10" s="5" t="inlineStr">
        <is>
          <t>Субстрат (солома + полонин. сіно)</t>
        </is>
      </c>
      <c r="C10" s="26" t="inlineStr"/>
      <c r="D10" s="3" t="inlineStr">
        <is>
          <t>—</t>
        </is>
      </c>
      <c r="E10" s="16" t="n">
        <v>3500</v>
      </c>
      <c r="F10" s="16" t="n">
        <v>3500</v>
      </c>
      <c r="G10" s="16">
        <f>(E10+F10)/2</f>
        <v/>
      </c>
      <c r="H10" s="27">
        <f>G10/G$19</f>
        <v/>
      </c>
    </row>
    <row r="11">
      <c r="B11" s="5" t="inlineStr">
        <is>
          <t>Спон зерновий міцелій</t>
        </is>
      </c>
      <c r="C11" s="26" t="inlineStr"/>
      <c r="D11" s="3" t="inlineStr">
        <is>
          <t>—</t>
        </is>
      </c>
      <c r="E11" s="16" t="n">
        <v>2500</v>
      </c>
      <c r="F11" s="16" t="n">
        <v>2500</v>
      </c>
      <c r="G11" s="16">
        <f>(E11+F11)/2</f>
        <v/>
      </c>
      <c r="H11" s="27">
        <f>G11/G$19</f>
        <v/>
      </c>
    </row>
    <row r="12">
      <c r="B12" s="5" t="inlineStr">
        <is>
          <t>Фільтри спорового колектора</t>
        </is>
      </c>
      <c r="C12" s="26" t="inlineStr"/>
      <c r="D12" s="3" t="inlineStr">
        <is>
          <t>F7-F9</t>
        </is>
      </c>
      <c r="E12" s="16" t="n">
        <v>950</v>
      </c>
      <c r="F12" s="16" t="n">
        <v>950</v>
      </c>
      <c r="G12" s="16">
        <f>(E12+F12)/2</f>
        <v/>
      </c>
      <c r="H12" s="27">
        <f>G12/G$19</f>
        <v/>
      </c>
    </row>
    <row r="13">
      <c r="B13" s="5" t="inlineStr">
        <is>
          <t>Вода + комунальні</t>
        </is>
      </c>
      <c r="C13" s="26" t="inlineStr"/>
      <c r="D13" s="3" t="inlineStr">
        <is>
          <t>м³</t>
        </is>
      </c>
      <c r="E13" s="16" t="n">
        <v>300</v>
      </c>
      <c r="F13" s="16" t="n">
        <v>300</v>
      </c>
      <c r="G13" s="16">
        <f>(E13+F13)/2</f>
        <v/>
      </c>
      <c r="H13" s="27">
        <f>G13/G$19</f>
        <v/>
      </c>
    </row>
    <row r="14">
      <c r="B14" s="5" t="inlineStr">
        <is>
          <t>Пакування</t>
        </is>
      </c>
      <c r="C14" s="26" t="inlineStr"/>
      <c r="D14" s="3" t="inlineStr">
        <is>
          <t>—</t>
        </is>
      </c>
      <c r="E14" s="16" t="n">
        <v>650</v>
      </c>
      <c r="F14" s="16" t="n">
        <v>650</v>
      </c>
      <c r="G14" s="16">
        <f>(E14+F14)/2</f>
        <v/>
      </c>
      <c r="H14" s="27">
        <f>G14/G$19</f>
        <v/>
      </c>
    </row>
    <row r="15">
      <c r="B15" s="5" t="inlineStr">
        <is>
          <t>IoT/хмара/SIM</t>
        </is>
      </c>
      <c r="C15" s="26" t="inlineStr"/>
      <c r="D15" s="3" t="inlineStr">
        <is>
          <t>—</t>
        </is>
      </c>
      <c r="E15" s="16" t="n">
        <v>400</v>
      </c>
      <c r="F15" s="16" t="n">
        <v>400</v>
      </c>
      <c r="G15" s="16">
        <f>(E15+F15)/2</f>
        <v/>
      </c>
      <c r="H15" s="27">
        <f>G15/G$19</f>
        <v/>
      </c>
    </row>
    <row r="16">
      <c r="B16" s="5" t="inlineStr">
        <is>
          <t>ТО + дрібниці</t>
        </is>
      </c>
      <c r="C16" s="26" t="inlineStr"/>
      <c r="D16" s="3" t="inlineStr">
        <is>
          <t>—</t>
        </is>
      </c>
      <c r="E16" s="16" t="n">
        <v>600</v>
      </c>
      <c r="F16" s="16" t="n">
        <v>600</v>
      </c>
      <c r="G16" s="16">
        <f>(E16+F16)/2</f>
        <v/>
      </c>
      <c r="H16" s="27">
        <f>G16/G$19</f>
        <v/>
      </c>
    </row>
    <row r="17">
      <c r="B17" s="5" t="inlineStr">
        <is>
          <t>Логістика Косів→Буковель/ІФ</t>
        </is>
      </c>
      <c r="C17" s="26" t="inlineStr"/>
      <c r="D17" s="3" t="inlineStr">
        <is>
          <t>1×тижд</t>
        </is>
      </c>
      <c r="E17" s="16" t="n">
        <v>1600</v>
      </c>
      <c r="F17" s="16" t="n">
        <v>1600</v>
      </c>
      <c r="G17" s="16">
        <f>(E17+F17)/2</f>
        <v/>
      </c>
      <c r="H17" s="27">
        <f>G17/G$19</f>
        <v/>
      </c>
    </row>
    <row r="18">
      <c r="B18" s="5" t="inlineStr">
        <is>
          <t>Оператор</t>
        </is>
      </c>
      <c r="C18" s="26" t="inlineStr"/>
      <c r="D18" s="3" t="inlineStr">
        <is>
          <t>часткова</t>
        </is>
      </c>
      <c r="E18" s="16">
        <f>OPERATOR_SALARY</f>
        <v/>
      </c>
      <c r="F18" s="16">
        <f>OPERATOR_SALARY</f>
        <v/>
      </c>
      <c r="G18" s="16">
        <f>(E18+F18)/2</f>
        <v/>
      </c>
      <c r="H18" s="27">
        <f>G18/G$19</f>
        <v/>
      </c>
    </row>
    <row r="19">
      <c r="B19" s="18" t="inlineStr">
        <is>
          <t>OPEX РАЗОМ</t>
        </is>
      </c>
      <c r="E19" s="20">
        <f>SUM(E5:E18)</f>
        <v/>
      </c>
      <c r="F19" s="20">
        <f>SUM(F5:F18)</f>
        <v/>
      </c>
      <c r="G19" s="20">
        <f>SUM(G5:G18)</f>
        <v/>
      </c>
    </row>
    <row r="21">
      <c r="B21" s="4" t="inlineStr">
        <is>
          <t>Примітки</t>
        </is>
      </c>
    </row>
    <row r="22">
      <c r="B22" s="5" t="inlineStr">
        <is>
          <t>• Електрика розраховується автоматично з тарифу (Cover!C9)</t>
        </is>
      </c>
    </row>
    <row r="23">
      <c r="B23" s="5" t="inlineStr">
        <is>
          <t>• Дрова обчислюються як WOOD_USAGE × WOOD_PRICE (м³ × грн/м³)</t>
        </is>
      </c>
    </row>
    <row r="24">
      <c r="B24" s="5" t="inlineStr">
        <is>
          <t>• Без котла зимовий OPEX був би +15-25K грн (катастрофа)</t>
        </is>
      </c>
    </row>
    <row r="25">
      <c r="B25" s="5" t="inlineStr">
        <is>
          <t>• Літом HVAC = головна стаття е/витрат (~475 кВт·год = ~7600 грн)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32" customWidth="1" min="3" max="3"/>
    <col width="14" customWidth="1" min="4" max="4"/>
    <col width="14" customWidth="1" min="5" max="5"/>
    <col width="18" customWidth="1" min="6" max="6"/>
    <col width="18" customWidth="1" min="7" max="7"/>
    <col width="18" customWidth="1" min="8" max="8"/>
    <col width="4" customWidth="1" min="9" max="9"/>
  </cols>
  <sheetData>
    <row r="1">
      <c r="B1" s="11" t="inlineStr">
        <is>
          <t>Сценарії продажу при baseline yield = 150 кг/міс</t>
        </is>
      </c>
    </row>
    <row r="4">
      <c r="A4" s="12" t="inlineStr">
        <is>
          <t>Сценарій</t>
        </is>
      </c>
      <c r="B4" s="12" t="inlineStr">
        <is>
          <t>Канали</t>
        </is>
      </c>
      <c r="C4" s="12" t="inlineStr">
        <is>
          <t>% обсягу</t>
        </is>
      </c>
      <c r="D4" s="12" t="inlineStr">
        <is>
          <t>Ціна (грн)</t>
        </is>
      </c>
      <c r="E4" s="12" t="inlineStr">
        <is>
          <t>Виручка (грн)</t>
        </is>
      </c>
      <c r="F4" s="12" t="inlineStr">
        <is>
          <t>OPEX (грн)</t>
        </is>
      </c>
      <c r="G4" s="12" t="inlineStr">
        <is>
          <t>Маржа (грн)</t>
        </is>
      </c>
      <c r="H4" s="12" t="inlineStr">
        <is>
          <t>Margin %</t>
        </is>
      </c>
    </row>
    <row r="5">
      <c r="B5" s="10" t="inlineStr">
        <is>
          <t>A · Опт-первенець</t>
        </is>
      </c>
      <c r="C5" s="5" t="inlineStr">
        <is>
          <t>100% опт ІФ × 60</t>
        </is>
      </c>
      <c r="D5" s="27" t="n">
        <v>1</v>
      </c>
      <c r="E5" s="28" t="n">
        <v>60</v>
      </c>
      <c r="F5" s="16">
        <f>MONTHLY_YIELD*D5*E5</f>
        <v/>
      </c>
      <c r="G5" s="16">
        <f>'OPEX'!$E$15</f>
        <v/>
      </c>
      <c r="H5" s="29">
        <f>F5-G5</f>
        <v/>
      </c>
      <c r="I5" s="27">
        <f>IFERROR(H5/F5,0)</f>
        <v/>
      </c>
    </row>
    <row r="6">
      <c r="B6" s="10" t="inlineStr">
        <is>
          <t>B · Змішаний</t>
        </is>
      </c>
      <c r="C6" s="5" t="inlineStr">
        <is>
          <t>50% опт 80 + 30% HoReCa 180 + 20% роздр. 250</t>
        </is>
      </c>
      <c r="D6" s="27" t="n">
        <v>1</v>
      </c>
      <c r="E6" s="28" t="n">
        <v>132</v>
      </c>
      <c r="F6" s="16">
        <f>MONTHLY_YIELD*D6*E6</f>
        <v/>
      </c>
      <c r="G6" s="16">
        <f>'OPEX'!$E$15</f>
        <v/>
      </c>
      <c r="H6" s="29">
        <f>F6-G6</f>
        <v/>
      </c>
      <c r="I6" s="27">
        <f>IFERROR(H6/F6,0)</f>
        <v/>
      </c>
    </row>
    <row r="7">
      <c r="B7" s="10" t="inlineStr">
        <is>
          <t>C · Преміум стратегія</t>
        </is>
      </c>
      <c r="C7" s="5" t="inlineStr">
        <is>
          <t>53% HoReCa 200 + 33% крафт 250 + 13% Polonyna 350</t>
        </is>
      </c>
      <c r="D7" s="27" t="n">
        <v>1</v>
      </c>
      <c r="E7" s="28" t="n">
        <v>237</v>
      </c>
      <c r="F7" s="16">
        <f>MONTHLY_YIELD*D7*E7</f>
        <v/>
      </c>
      <c r="G7" s="16">
        <f>'OPEX'!$E$15</f>
        <v/>
      </c>
      <c r="H7" s="29">
        <f>F7-G7</f>
        <v/>
      </c>
      <c r="I7" s="27">
        <f>IFERROR(H7/F7,0)</f>
        <v/>
      </c>
    </row>
    <row r="8">
      <c r="B8" s="10" t="inlineStr">
        <is>
          <t>D · Літо туристичний</t>
        </is>
      </c>
      <c r="C8" s="5" t="inlineStr">
        <is>
          <t>70% HoReCa 220 + 30% крафт 280</t>
        </is>
      </c>
      <c r="D8" s="27" t="n">
        <v>1</v>
      </c>
      <c r="E8" s="28" t="n">
        <v>238</v>
      </c>
      <c r="F8" s="16">
        <f>MONTHLY_YIELD*D8*E8</f>
        <v/>
      </c>
      <c r="G8" s="16">
        <f>'OPEX'!$F$15</f>
        <v/>
      </c>
      <c r="H8" s="29">
        <f>F8-G8</f>
        <v/>
      </c>
      <c r="I8" s="27">
        <f>IFERROR(H8/F8,0)</f>
        <v/>
      </c>
    </row>
    <row r="10">
      <c r="B10" s="4" t="inlineStr">
        <is>
          <t>Висновки</t>
        </is>
      </c>
    </row>
    <row r="11">
      <c r="B11" s="5" t="inlineStr">
        <is>
          <t>• A — Опт за 60 грн/кг = глибокий збиток (-22K грн/міс). Не життєздатний.</t>
        </is>
      </c>
    </row>
    <row r="12">
      <c r="B12" s="5" t="inlineStr">
        <is>
          <t>• B — Змішаний канал теж не закриває OPEX (-9.4K грн/міс).</t>
        </is>
      </c>
    </row>
    <row r="13">
      <c r="B13" s="5" t="inlineStr">
        <is>
          <t>• C — Преміум HoReCa+крафт+Polonyna Edition = +4.5K (+15%). Базовий план.</t>
        </is>
      </c>
    </row>
    <row r="14">
      <c r="B14" s="5" t="inlineStr">
        <is>
          <t>• D — Літом туристичний пік дає +1.7K (+5%); HVAC їсть значну частину.</t>
        </is>
      </c>
    </row>
    <row r="15">
      <c r="B15" s="5" t="inlineStr">
        <is>
          <t>• MVP = proof-of-concept на 0/+5%, не cash-machine. Прибуток з кластера 3+.</t>
        </is>
      </c>
    </row>
  </sheetData>
  <mergeCells count="5">
    <mergeCell ref="B14:H14"/>
    <mergeCell ref="B13:H13"/>
    <mergeCell ref="B12:H12"/>
    <mergeCell ref="B15:H15"/>
    <mergeCell ref="B11:H11"/>
  </mergeCells>
  <conditionalFormatting sqref="H5:H8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4" customWidth="1" min="8" max="8"/>
  </cols>
  <sheetData>
    <row r="1">
      <c r="B1" s="11" t="inlineStr">
        <is>
          <t>5-річна проекція (Сценарій C, базовий)</t>
        </is>
      </c>
    </row>
    <row r="2">
      <c r="B2" s="3" t="inlineStr">
        <is>
          <t>Усі цифри в грн. Без врахування Phase 2+ NFT-залучення.</t>
        </is>
      </c>
    </row>
    <row r="4">
      <c r="A4" s="12" t="inlineStr">
        <is>
          <t>Рік</t>
        </is>
      </c>
      <c r="B4" s="12" t="inlineStr">
        <is>
          <t>Контейнерів</t>
        </is>
      </c>
      <c r="C4" s="12" t="inlineStr">
        <is>
          <t>Виручка/рік</t>
        </is>
      </c>
      <c r="D4" s="12" t="inlineStr">
        <is>
          <t>OPEX/рік</t>
        </is>
      </c>
      <c r="E4" s="12" t="inlineStr">
        <is>
          <t>Net Profit</t>
        </is>
      </c>
      <c r="F4" s="12" t="inlineStr">
        <is>
          <t>Cumulative</t>
        </is>
      </c>
      <c r="G4" s="12" t="inlineStr">
        <is>
          <t>Multiplier</t>
        </is>
      </c>
    </row>
    <row r="5">
      <c r="B5" s="10" t="inlineStr">
        <is>
          <t>2026 Q3-Q4</t>
        </is>
      </c>
      <c r="C5" s="5" t="inlineStr">
        <is>
          <t>1 (часткова)</t>
        </is>
      </c>
      <c r="D5" s="30" t="n">
        <v>170000</v>
      </c>
      <c r="E5" s="30" t="n">
        <v>155000</v>
      </c>
      <c r="F5" s="29">
        <f>D5-E5</f>
        <v/>
      </c>
      <c r="G5" s="29">
        <f>F5</f>
        <v/>
      </c>
      <c r="H5" s="31">
        <f>F5/F$5</f>
        <v/>
      </c>
    </row>
    <row r="6">
      <c r="B6" s="10" t="inlineStr">
        <is>
          <t>2027</t>
        </is>
      </c>
      <c r="C6" s="5" t="inlineStr">
        <is>
          <t>1 (повний)</t>
        </is>
      </c>
      <c r="D6" s="30" t="n">
        <v>426000</v>
      </c>
      <c r="E6" s="30" t="n">
        <v>372000</v>
      </c>
      <c r="F6" s="29">
        <f>D6-E6</f>
        <v/>
      </c>
      <c r="G6" s="29">
        <f>F6+G5</f>
        <v/>
      </c>
      <c r="H6" s="31">
        <f>F6/F$5</f>
        <v/>
      </c>
    </row>
    <row r="7">
      <c r="B7" s="10" t="inlineStr">
        <is>
          <t>2028</t>
        </is>
      </c>
      <c r="C7" s="5" t="inlineStr">
        <is>
          <t>3</t>
        </is>
      </c>
      <c r="D7" s="30" t="n">
        <v>1510000</v>
      </c>
      <c r="E7" s="30" t="n">
        <v>1180000</v>
      </c>
      <c r="F7" s="29">
        <f>D7-E7</f>
        <v/>
      </c>
      <c r="G7" s="29">
        <f>F7+G6</f>
        <v/>
      </c>
      <c r="H7" s="31">
        <f>F7/F$5</f>
        <v/>
      </c>
    </row>
    <row r="8">
      <c r="B8" s="10" t="inlineStr">
        <is>
          <t>2029</t>
        </is>
      </c>
      <c r="C8" s="5" t="inlineStr">
        <is>
          <t>5-7</t>
        </is>
      </c>
      <c r="D8" s="30" t="n">
        <v>3200000</v>
      </c>
      <c r="E8" s="30" t="n">
        <v>2400000</v>
      </c>
      <c r="F8" s="29">
        <f>D8-E8</f>
        <v/>
      </c>
      <c r="G8" s="29">
        <f>F8+G7</f>
        <v/>
      </c>
      <c r="H8" s="31">
        <f>F8/F$5</f>
        <v/>
      </c>
    </row>
    <row r="9">
      <c r="B9" s="10" t="inlineStr">
        <is>
          <t>2030</t>
        </is>
      </c>
      <c r="C9" s="5" t="inlineStr">
        <is>
          <t>10+</t>
        </is>
      </c>
      <c r="D9" s="30" t="n">
        <v>6000000</v>
      </c>
      <c r="E9" s="30" t="n">
        <v>4200000</v>
      </c>
      <c r="F9" s="29">
        <f>D9-E9</f>
        <v/>
      </c>
      <c r="G9" s="29">
        <f>F9+G8</f>
        <v/>
      </c>
      <c r="H9" s="31">
        <f>F9/F$5</f>
        <v/>
      </c>
    </row>
    <row r="12">
      <c r="B12" s="4" t="inlineStr">
        <is>
          <t>Допущення</t>
        </is>
      </c>
    </row>
    <row r="13">
      <c r="B13" s="5" t="inlineStr">
        <is>
          <t>• Виручка та OPEX масштабуються нелінійно — кластерний ефект знижує OPEX/контейнер на ~20% при 3+ та ~30% при 5+</t>
        </is>
      </c>
    </row>
    <row r="14">
      <c r="B14" s="5" t="inlineStr">
        <is>
          <t>• 2026 — лише часткова потужність (3-4 цикли)</t>
        </is>
      </c>
    </row>
    <row r="15">
      <c r="B15" s="5" t="inlineStr">
        <is>
          <t>• Phase 2 (2028) — додаткове залучення $25-35K через reinvest + private NFT (не показано)</t>
        </is>
      </c>
    </row>
    <row r="16">
      <c r="B16" s="5" t="inlineStr">
        <is>
          <t>• Phase 3 (2028-2029) — публічний NFT mint $300K (не включено в виручку)</t>
        </is>
      </c>
    </row>
  </sheetData>
  <mergeCells count="4">
    <mergeCell ref="B14:G14"/>
    <mergeCell ref="B15:G15"/>
    <mergeCell ref="B13:G13"/>
    <mergeCell ref="B16:G1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4" customWidth="1" min="3" max="3"/>
    <col width="14" customWidth="1" min="4" max="4"/>
    <col width="14" customWidth="1" min="5" max="5"/>
    <col width="16" customWidth="1" min="6" max="6"/>
    <col width="4" customWidth="1" min="7" max="7"/>
  </cols>
  <sheetData>
    <row r="1">
      <c r="B1" s="11" t="inlineStr">
        <is>
          <t>Sensitivity Analysis (вплив на маржу/міс)</t>
        </is>
      </c>
    </row>
    <row r="2">
      <c r="B2" s="3" t="inlineStr">
        <is>
          <t>Ефект ±X% на чистий прибуток MVP (Сценарій C, грн/міс)</t>
        </is>
      </c>
    </row>
    <row r="4">
      <c r="A4" s="12" t="inlineStr">
        <is>
          <t>Параметр</t>
        </is>
      </c>
      <c r="B4" s="12" t="inlineStr">
        <is>
          <t>Pesimist</t>
        </is>
      </c>
      <c r="C4" s="12" t="inlineStr">
        <is>
          <t>Baseline</t>
        </is>
      </c>
      <c r="D4" s="12" t="inlineStr">
        <is>
          <t>Optimist</t>
        </is>
      </c>
      <c r="E4" s="12" t="inlineStr">
        <is>
          <t>Розкид NP/міс</t>
        </is>
      </c>
      <c r="F4" s="12" t="inlineStr">
        <is>
          <t>Чутливість</t>
        </is>
      </c>
    </row>
    <row r="5">
      <c r="B5" s="5" t="inlineStr">
        <is>
          <t>Ціна гливи HoReCa (грн/кг)</t>
        </is>
      </c>
      <c r="C5" s="32" t="n">
        <v>160</v>
      </c>
      <c r="D5" t="n">
        <v>200</v>
      </c>
      <c r="E5" s="32" t="n">
        <v>240</v>
      </c>
      <c r="F5" s="16">
        <f>(D5-B5)*MONTHLY_YIELD*0.6</f>
        <v/>
      </c>
      <c r="G5" s="33" t="inlineStr">
        <is>
          <t>висока</t>
        </is>
      </c>
    </row>
    <row r="6">
      <c r="B6" s="5" t="inlineStr">
        <is>
          <t>Врожай (кг/міс)</t>
        </is>
      </c>
      <c r="C6" s="32" t="n">
        <v>120</v>
      </c>
      <c r="D6" t="n">
        <v>150</v>
      </c>
      <c r="E6" s="32" t="n">
        <v>180</v>
      </c>
      <c r="F6" s="16">
        <f>(D6-B6)*200</f>
        <v/>
      </c>
      <c r="G6" s="33" t="inlineStr">
        <is>
          <t>висока</t>
        </is>
      </c>
    </row>
    <row r="7">
      <c r="B7" s="5" t="inlineStr">
        <is>
          <t>Тариф ел/енерг (грн/кВт·год)</t>
        </is>
      </c>
      <c r="C7" s="32" t="n">
        <v>20</v>
      </c>
      <c r="D7" t="n">
        <v>16</v>
      </c>
      <c r="E7" s="32" t="n">
        <v>14</v>
      </c>
      <c r="F7" s="16">
        <f>-(B7-D7)*845</f>
        <v/>
      </c>
      <c r="G7" s="33" t="inlineStr">
        <is>
          <t>низька</t>
        </is>
      </c>
    </row>
    <row r="8">
      <c r="B8" s="5" t="inlineStr">
        <is>
          <t>Витрата дров (м³/міс)</t>
        </is>
      </c>
      <c r="C8" s="32" t="n">
        <v>1</v>
      </c>
      <c r="D8" t="n">
        <v>0.6</v>
      </c>
      <c r="E8" s="32" t="n">
        <v>0.4</v>
      </c>
      <c r="F8" s="16">
        <f>-(B8-D8)*WOOD_PRICE</f>
        <v/>
      </c>
      <c r="G8" s="33" t="inlineStr">
        <is>
          <t>низька</t>
        </is>
      </c>
    </row>
    <row r="9">
      <c r="B9" s="5" t="inlineStr">
        <is>
          <t>Зарплата оператора (грн/міс)</t>
        </is>
      </c>
      <c r="C9" s="32" t="n">
        <v>15000</v>
      </c>
      <c r="D9" t="n">
        <v>12000</v>
      </c>
      <c r="E9" s="32" t="n">
        <v>10000</v>
      </c>
      <c r="F9" s="16">
        <f>-(B9-D9)</f>
        <v/>
      </c>
      <c r="G9" s="33" t="inlineStr">
        <is>
          <t>середня</t>
        </is>
      </c>
    </row>
    <row r="10">
      <c r="B10" s="5" t="inlineStr">
        <is>
          <t>Курс USD (грн/$)</t>
        </is>
      </c>
      <c r="C10" s="32" t="n">
        <v>45</v>
      </c>
      <c r="D10" t="n">
        <v>41.5</v>
      </c>
      <c r="E10" s="32" t="n">
        <v>38</v>
      </c>
      <c r="F10" s="16">
        <f>(D10-B10)*'CAPEX'!$F$36/120</f>
        <v/>
      </c>
      <c r="G10" s="33" t="inlineStr">
        <is>
          <t>amortiz.</t>
        </is>
      </c>
    </row>
    <row r="13">
      <c r="B13" s="4" t="inlineStr">
        <is>
          <t>Інтерпретація</t>
        </is>
      </c>
    </row>
    <row r="14">
      <c r="B14" s="5" t="inlineStr">
        <is>
          <t>• Найбільший ризик: ціна HoReCa та врожай — кожен ±20% дає ±6K грн/міс</t>
        </is>
      </c>
    </row>
    <row r="15">
      <c r="B15" s="5" t="inlineStr">
        <is>
          <t>• Тариф ел.енерг та дрова мають менший вплив завдяки оптимальному міксу</t>
        </is>
      </c>
    </row>
    <row r="16">
      <c r="B16" s="5" t="inlineStr">
        <is>
          <t>• Курс USD впливає лише через CAPEX-амортизацію, прямого впливу на OPEX мало</t>
        </is>
      </c>
    </row>
    <row r="17">
      <c r="B17" s="5" t="inlineStr">
        <is>
          <t>• Стратегія зниження ризику: контракти з готелями + резервні канали</t>
        </is>
      </c>
    </row>
  </sheetData>
  <mergeCells count="4">
    <mergeCell ref="B16:F16"/>
    <mergeCell ref="B15:F15"/>
    <mergeCell ref="B17:F17"/>
    <mergeCell ref="B14:F1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30" customWidth="1" min="3" max="3"/>
    <col width="4" customWidth="1" min="4" max="4"/>
  </cols>
  <sheetData>
    <row r="1">
      <c r="B1" s="11" t="inlineStr">
        <is>
          <t>Phase 1 Term Sheet — 2 ангели на MVP</t>
        </is>
      </c>
    </row>
    <row r="3">
      <c r="A3" s="12" t="inlineStr">
        <is>
          <t>Пункт</t>
        </is>
      </c>
      <c r="B3" s="12" t="inlineStr">
        <is>
          <t>Умова</t>
        </is>
      </c>
    </row>
    <row r="4">
      <c r="B4" s="10" t="inlineStr">
        <is>
          <t>Issuer</t>
        </is>
      </c>
      <c r="C4" s="5" t="inlineStr">
        <is>
          <t>ТОВ "Кокон" (UA, Косів)</t>
        </is>
      </c>
    </row>
    <row r="5">
      <c r="B5" s="10" t="inlineStr">
        <is>
          <t>Інструмент</t>
        </is>
      </c>
      <c r="C5" s="5" t="inlineStr">
        <is>
          <t>Частки в ТОВ + Корпоративний договір</t>
        </is>
      </c>
    </row>
    <row r="6">
      <c r="B6" s="10" t="inlineStr">
        <is>
          <t>Pre-money valuation</t>
        </is>
      </c>
      <c r="C6" s="5" t="inlineStr">
        <is>
          <t>$80,000</t>
        </is>
      </c>
    </row>
    <row r="7">
      <c r="B7" s="10" t="inlineStr">
        <is>
          <t>Total raise</t>
        </is>
      </c>
      <c r="C7" s="5" t="inlineStr">
        <is>
          <t>$30,000 (2 × $15,000)</t>
        </is>
      </c>
    </row>
    <row r="8">
      <c r="B8" s="10" t="inlineStr">
        <is>
          <t>Equity per investor</t>
        </is>
      </c>
      <c r="C8" s="5" t="inlineStr">
        <is>
          <t>24.5% (49% разом)</t>
        </is>
      </c>
    </row>
    <row r="9">
      <c r="B9" s="10" t="inlineStr">
        <is>
          <t>Founder stake</t>
        </is>
      </c>
      <c r="C9" s="5" t="inlineStr">
        <is>
          <t>51%</t>
        </is>
      </c>
    </row>
    <row r="10">
      <c r="B10" s="10" t="inlineStr">
        <is>
          <t>Use of proceeds</t>
        </is>
      </c>
      <c r="C10" s="5" t="inlineStr">
        <is>
          <t>1× MVP-контейнер $19K + 6 міс runway $11K</t>
        </is>
      </c>
    </row>
    <row r="11">
      <c r="B11" s="10" t="inlineStr">
        <is>
          <t>Liquidation preference</t>
        </is>
      </c>
      <c r="C11" s="5" t="inlineStr">
        <is>
          <t>1× non-participating</t>
        </is>
      </c>
    </row>
    <row r="12">
      <c r="B12" s="10" t="inlineStr">
        <is>
          <t>Anti-dilution</t>
        </is>
      </c>
      <c r="C12" s="5" t="inlineStr">
        <is>
          <t>Weighted average, narrow-based</t>
        </is>
      </c>
    </row>
    <row r="13">
      <c r="B13" s="10" t="inlineStr">
        <is>
          <t>Tag-along, drag-along</t>
        </is>
      </c>
      <c r="C13" s="5" t="inlineStr">
        <is>
          <t>Standard UA SHA</t>
        </is>
      </c>
    </row>
    <row r="14">
      <c r="B14" s="10" t="inlineStr">
        <is>
          <t>Founder vesting</t>
        </is>
      </c>
      <c r="C14" s="5" t="inlineStr">
        <is>
          <t>4 роки з 1-річним cliff</t>
        </is>
      </c>
    </row>
    <row r="15">
      <c r="B15" s="10" t="inlineStr">
        <is>
          <t>Інформаційні права</t>
        </is>
      </c>
      <c r="C15" s="5" t="inlineStr">
        <is>
          <t>Щомісячний фін.звіт + IoT dashboard read-only</t>
        </is>
      </c>
    </row>
    <row r="16">
      <c r="B16" s="10" t="inlineStr">
        <is>
          <t>Board seats</t>
        </is>
      </c>
      <c r="C16" s="5" t="inlineStr">
        <is>
          <t>1 на кожного ангела (наглядова рада ТОВ)</t>
        </is>
      </c>
    </row>
    <row r="17">
      <c r="B17" s="10" t="inlineStr">
        <is>
          <t>Phase 2 conversion</t>
        </is>
      </c>
      <c r="C17" s="5" t="inlineStr">
        <is>
          <t>NFT priority allocation 15-20% дисконт АБО викуп 2-3× cash</t>
        </is>
      </c>
    </row>
    <row r="18">
      <c r="B18" s="10" t="inlineStr">
        <is>
          <t>Closing</t>
        </is>
      </c>
      <c r="C18" s="5" t="inlineStr">
        <is>
          <t>30 днів від підписання Term Sheet</t>
        </is>
      </c>
    </row>
    <row r="21">
      <c r="B21" s="3" t="inlineStr">
        <is>
          <t>Не юридично обов'язкова оферта. Усі умови підлягають фіналізації в SHA.</t>
        </is>
      </c>
    </row>
  </sheetData>
  <mergeCells count="1">
    <mergeCell ref="B21:C2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18" customWidth="1" min="3" max="3"/>
    <col width="18" customWidth="1" min="4" max="4"/>
    <col width="18" customWidth="1" min="5" max="5"/>
    <col width="36" customWidth="1" min="6" max="6"/>
    <col width="4" customWidth="1" min="7" max="7"/>
  </cols>
  <sheetData>
    <row r="1">
      <c r="B1" s="11" t="inlineStr">
        <is>
          <t>Фази 2-4 — Crypto Roadmap</t>
        </is>
      </c>
    </row>
    <row r="3">
      <c r="A3" s="12" t="inlineStr">
        <is>
          <t>Фаза</t>
        </is>
      </c>
      <c r="B3" s="12" t="inlineStr">
        <is>
          <t>Дата</t>
        </is>
      </c>
      <c r="C3" s="12" t="inlineStr">
        <is>
          <t>Контейнерів</t>
        </is>
      </c>
      <c r="D3" s="12" t="inlineStr">
        <is>
          <t>Капітал</t>
        </is>
      </c>
      <c r="E3" s="12" t="inlineStr">
        <is>
          <t>Інструмент</t>
        </is>
      </c>
      <c r="F3" s="12" t="inlineStr">
        <is>
          <t>Деталі</t>
        </is>
      </c>
    </row>
    <row r="4">
      <c r="B4" s="10" t="inlineStr">
        <is>
          <t>Phase 2</t>
        </is>
      </c>
      <c r="C4" s="5" t="inlineStr">
        <is>
          <t>2027 Q2</t>
        </is>
      </c>
      <c r="D4" s="5" t="inlineStr">
        <is>
          <t>+2</t>
        </is>
      </c>
      <c r="E4" s="15" t="n">
        <v>25000</v>
      </c>
      <c r="F4" s="5" t="inlineStr">
        <is>
          <t>Reinvest + Private NFT</t>
        </is>
      </c>
      <c r="G4" s="3" t="inlineStr">
        <is>
          <t>10-20 NFT × $1K friends&amp;family. KYC обов'язковий. Без публічного marketing.</t>
        </is>
      </c>
    </row>
    <row r="5">
      <c r="B5" s="10" t="inlineStr">
        <is>
          <t>Phase 3</t>
        </is>
      </c>
      <c r="C5" s="5" t="inlineStr">
        <is>
          <t>2028 Q1</t>
        </is>
      </c>
      <c r="D5" s="5" t="inlineStr">
        <is>
          <t>5-7</t>
        </is>
      </c>
      <c r="E5" s="15" t="n">
        <v>300000</v>
      </c>
      <c r="F5" s="5" t="inlineStr">
        <is>
          <t>Public NFT mint Polygon</t>
        </is>
      </c>
      <c r="G5" s="3" t="inlineStr">
        <is>
          <t>200 NFT × $1.5K avg. ERC-721, Aragon OSx DAO. Дія.City резидент. CASP via Литва.</t>
        </is>
      </c>
    </row>
    <row r="6">
      <c r="B6" s="10" t="inlineStr">
        <is>
          <t>Phase 4</t>
        </is>
      </c>
      <c r="C6" s="5" t="inlineStr">
        <is>
          <t>2029+</t>
        </is>
      </c>
      <c r="D6" s="5" t="inlineStr">
        <is>
          <t>50+</t>
        </is>
      </c>
      <c r="E6" s="15" t="n">
        <v>0</v>
      </c>
      <c r="F6" s="5" t="inlineStr">
        <is>
          <t>DAO governance + Treasury</t>
        </is>
      </c>
      <c r="G6" s="3" t="inlineStr">
        <is>
          <t>KOK governance token. Регіональні хаби. EU export. MushBot робототехніка.</t>
        </is>
      </c>
    </row>
    <row r="9">
      <c r="B9" s="4" t="inlineStr">
        <is>
          <t>Triple P NFT — розподіл доходу</t>
        </is>
      </c>
    </row>
    <row r="10">
      <c r="B10" s="10" t="inlineStr">
        <is>
          <t>NFT-холдерам</t>
        </is>
      </c>
      <c r="C10" s="34" t="inlineStr">
        <is>
          <t>45%</t>
        </is>
      </c>
      <c r="D10" s="5" t="inlineStr">
        <is>
          <t>USDC payouts quarterly via Chainlink Functions</t>
        </is>
      </c>
    </row>
    <row r="11">
      <c r="B11" s="10" t="inlineStr">
        <is>
          <t>Виконавцям</t>
        </is>
      </c>
      <c r="C11" s="34" t="inlineStr">
        <is>
          <t>25%</t>
        </is>
      </c>
      <c r="D11" s="5" t="inlineStr">
        <is>
          <t>Оператори, логістика. Дія.City гіг-контракти. On-chain bounties.</t>
        </is>
      </c>
    </row>
    <row r="12">
      <c r="B12" s="10" t="inlineStr">
        <is>
          <t>DAO Treasury</t>
        </is>
      </c>
      <c r="C12" s="34" t="inlineStr">
        <is>
          <t>15%</t>
        </is>
      </c>
      <c r="D12" s="5" t="inlineStr">
        <is>
          <t>R&amp;D, нові контейнери. 3-of-5 multi-sig.</t>
        </is>
      </c>
    </row>
    <row r="13">
      <c r="B13" s="10" t="inlineStr">
        <is>
          <t>Соцфонд Карпат</t>
        </is>
      </c>
      <c r="C13" s="34" t="inlineStr">
        <is>
          <t>15%</t>
        </is>
      </c>
      <c r="D13" s="5" t="inlineStr">
        <is>
          <t>Інфраструктура Косова. Громада голосує. Ончейн-прозорість.</t>
        </is>
      </c>
    </row>
    <row r="16" ht="32" customHeight="1">
      <c r="B16" s="35" t="inlineStr">
        <is>
          <t>DISCLAIMER: Цей розділ — стратегічний план, не оферта. Усі описані токени = utility tokens. Перед фінальним запуском — обов'язковий legal opinion. NOT FINANCIAL ADVICE.</t>
        </is>
      </c>
    </row>
  </sheetData>
  <mergeCells count="5">
    <mergeCell ref="B16:G16"/>
    <mergeCell ref="D12:G12"/>
    <mergeCell ref="D13:G13"/>
    <mergeCell ref="D11:G11"/>
    <mergeCell ref="D10:G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2026-05-04T11:45:36Z</dcterms:created>
  <dcterms:modified xsi:type="dcterms:W3CDTF">2026-05-04T11:45:36Z</dcterms:modified>
</cp:coreProperties>
</file>